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CO &amp; CO2 - mobile use case" sheetId="1" r:id="rId4"/>
    <sheet state="visible" name="Hidden calculations" sheetId="2" r:id="rId5"/>
  </sheets>
  <definedNames/>
  <calcPr/>
  <extLst>
    <ext uri="GoogleSheetsCustomDataVersion2">
      <go:sheetsCustomData xmlns:go="http://customooxmlschemas.google.com/" r:id="rId6" roundtripDataChecksum="JgOqIlYAUFWpMsiL3yXKNe9ZQ+LbdRJNtnkRkTX2kj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2">
      <text>
        <t xml:space="preserve">======
ID#AAABfvegZDI
Maurice Montalbano    (2025-03-14 08:19:29)
Total number of seats in the EUC infrastructure.</t>
      </text>
    </comment>
    <comment authorId="0" ref="B25">
      <text>
        <t xml:space="preserve">======
ID#AAABfvegZC8
Maurice Montalbano    (2025-03-14 08:19:29)
Average annual labor costs of one single IT employee required for maintenance EUC (fat client infrastructure).</t>
      </text>
    </comment>
    <comment authorId="0" ref="B19">
      <text>
        <t xml:space="preserve">======
ID#AAABfvegZCw
Maurice Montalbano    (2025-03-14 08:19:29)
Default value is based on a depreciation period (German: Abschreibungsdauer) of three years and does not include a docking station.</t>
      </text>
    </comment>
    <comment authorId="0" ref="B13">
      <text>
        <t xml:space="preserve">======
ID#AAABfvegZCo
Maurice Montalbano    (2025-03-14 08:19:29)
Number of available fat/hybrid client devices which can be repurposed to run on eLux.</t>
      </text>
    </comment>
  </commentList>
  <extLst>
    <ext uri="GoogleSheetsCustomDataVersion2">
      <go:sheetsCustomData xmlns:go="http://customooxmlschemas.google.com/" r:id="rId1" roundtripDataSignature="AMtx7mjuqOKA4sDVG/P8ijHs+egIwcomL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37">
      <text>
        <t xml:space="preserve">======
ID#AAABfvegZDE
Maurice Montalbano    (2025-03-14 08:19:29)
Assumption: linear distribution of the emissions of the typical 4 years life span</t>
      </text>
    </comment>
    <comment authorId="0" ref="A21">
      <text>
        <t xml:space="preserve">======
ID#AAABfvegZDA
Maurice Montalbano    (2025-03-14 08:19:29)
Average annual labor costs of one single IT employee required for maintenance EUC (hybrid client infrastructure).</t>
      </text>
    </comment>
    <comment authorId="0" ref="D21">
      <text>
        <t xml:space="preserve">======
ID#AAABfvegZC4
Maurice Montalbano    (2025-03-14 08:19:29)
Average annual labor costs of one single IT employee required for maintenance EUC (fat client infrastructure).</t>
      </text>
    </comment>
    <comment authorId="0" ref="A8">
      <text>
        <t xml:space="preserve">======
ID#AAABfvegZC0
Maurice Montalbano    (2025-03-14 08:19:29)
Included in Citrix seat until next beachhead.</t>
      </text>
    </comment>
    <comment authorId="0" ref="D2">
      <text>
        <t xml:space="preserve">======
ID#AAABfvegZCs
Maurice Montalbano    (2025-03-14 08:19:29)
Default value is based on a depreciation period (German: Abschreibungsdauer) of three years.</t>
      </text>
    </comment>
    <comment authorId="0" ref="D11">
      <text>
        <t xml:space="preserve">======
ID#AAABfvegZCg
Maurice Montalbano    (2025-03-14 08:19:29)
Not applicable</t>
      </text>
    </comment>
    <comment authorId="0" ref="A37">
      <text>
        <t xml:space="preserve">======
ID#AAABfvegZCk
Maurice Montalbano    (2025-03-14 08:19:29)
Assumptions: linear distribution of the emissions of the typical 4 years life span.</t>
      </text>
    </comment>
    <comment authorId="0" ref="A4">
      <text>
        <t xml:space="preserve">======
ID#AAABfvegZCU
Maurice Montalbano    (2025-03-14 08:19:29)
Not appicable for this use case.</t>
      </text>
    </comment>
    <comment authorId="0" ref="A12">
      <text>
        <t xml:space="preserve">======
ID#AAABfvegZCY
Maurice Montalbano    (2025-03-14 08:19:29)
Included in Citrix seat until next beachhead.</t>
      </text>
    </comment>
    <comment authorId="0" ref="A2">
      <text>
        <t xml:space="preserve">======
ID#AAABfvegZCQ
Maurice Montalbano    (2025-03-14 08:19:29)
Default value is based on a depreciation period (German: Abschreibungsdauer) of six years.</t>
      </text>
    </comment>
    <comment authorId="0" ref="D4">
      <text>
        <t xml:space="preserve">======
ID#AAABfvegZCc
Maurice Montalbano    (2025-03-14 08:19:29)
Not appicable for this use case.</t>
      </text>
    </comment>
  </commentList>
  <extLst>
    <ext uri="GoogleSheetsCustomDataVersion2">
      <go:sheetsCustomData xmlns:go="http://customooxmlschemas.google.com/" r:id="rId1" roundtripDataSignature="AMtx7mg3nwnLL6Q/B3LzuP+eYJvvsmqGrg=="/>
    </ext>
  </extLst>
</comments>
</file>

<file path=xl/sharedStrings.xml><?xml version="1.0" encoding="utf-8"?>
<sst xmlns="http://schemas.openxmlformats.org/spreadsheetml/2006/main" count="91" uniqueCount="71">
  <si>
    <t>TCO &amp; Carbon Calculator</t>
  </si>
  <si>
    <t>For the usage of hybrid clients with eLux in a stationary working scenario</t>
  </si>
  <si>
    <t>Parameters</t>
  </si>
  <si>
    <t>Edit the parameter values in the grey cells if the default values do not apply:</t>
  </si>
  <si>
    <t>Total number of seats (incl. repurposed devices if applicable):</t>
  </si>
  <si>
    <t>Number of devices which can be used repurposed:</t>
  </si>
  <si>
    <t>Costs related to eLux hybrid client:</t>
  </si>
  <si>
    <t>Annual license costs for Citrix per seat:</t>
  </si>
  <si>
    <t>Costs related to Windows 365 Link:</t>
  </si>
  <si>
    <t>Acquisition costs per Windows 365 Link:</t>
  </si>
  <si>
    <t>Deployment costs per Windows 365 Link:</t>
  </si>
  <si>
    <t>Annual license costs for MS Windows 365 per Windows 365 Link:</t>
  </si>
  <si>
    <t>Annual license costs for MS 365 per Windows 365 Link:</t>
  </si>
  <si>
    <t>Other annual license costs per Windows 365 Link:</t>
  </si>
  <si>
    <t>Number of IT employees required for EUC (Windows 365 Link):</t>
  </si>
  <si>
    <t>Average annual labor costs of IT employee required for maintenance EUC:</t>
  </si>
  <si>
    <t>Calculation of TCO after (time between next IGEL renewal date and next Citrix beachhead)</t>
  </si>
  <si>
    <t>years</t>
  </si>
  <si>
    <t>Results</t>
  </si>
  <si>
    <t>Cost</t>
  </si>
  <si>
    <t>Windows 365 Link</t>
  </si>
  <si>
    <t>eLux hybrid clients</t>
  </si>
  <si>
    <t>Acquisition</t>
  </si>
  <si>
    <t>Deployment</t>
  </si>
  <si>
    <t>Licensing</t>
  </si>
  <si>
    <t>Maintenance</t>
  </si>
  <si>
    <t>Assumptions and remarks:</t>
  </si>
  <si>
    <t>With this sheet you can calculate your savings of using (repurposed) eLux hybrid clients instead of switching to Windows 365 Link devices.</t>
  </si>
  <si>
    <t>Energy costs are disregarded.</t>
  </si>
  <si>
    <t>The energy costs depend on the utilization of the device and the load distribution over the course of the day.</t>
  </si>
  <si>
    <t>Switching/migration costs and volume discounts are not considered.</t>
  </si>
  <si>
    <t>CO² emissions (kg)</t>
  </si>
  <si>
    <t>Supply</t>
  </si>
  <si>
    <t>Use</t>
  </si>
  <si>
    <t>kg</t>
  </si>
  <si>
    <t>Supply  emissions = emissions created through the materials sourcing and asset manufacturing phase, incl. transportation and waste generation.</t>
  </si>
  <si>
    <t>Usage emissions = emissions created primarily through the use phase, e.g. through purchased energy.</t>
  </si>
  <si>
    <t>Emission values are based on  Garttner reports from 2023 and 2024.</t>
  </si>
  <si>
    <t>Costs related to eLux hybrid clients:</t>
  </si>
  <si>
    <t>Acquisition costs per eLux hybrid clients:</t>
  </si>
  <si>
    <t>Client</t>
  </si>
  <si>
    <t>Docking station</t>
  </si>
  <si>
    <t>Deployment costs pereLux hybrid clients:</t>
  </si>
  <si>
    <t>Expenditure of work</t>
  </si>
  <si>
    <t>eLux/Scout license</t>
  </si>
  <si>
    <t>Annual license costs per eLux hybrid clients:</t>
  </si>
  <si>
    <t>Annual license costs per Windows 365 Link:</t>
  </si>
  <si>
    <t>VDI (Citrix)</t>
  </si>
  <si>
    <t>eLux subscription</t>
  </si>
  <si>
    <t>Microsoft Windows 365</t>
  </si>
  <si>
    <t>Microsoft 365</t>
  </si>
  <si>
    <t>Security software</t>
  </si>
  <si>
    <t>VPN</t>
  </si>
  <si>
    <t>Other</t>
  </si>
  <si>
    <t>Number of IT employees required for EUC (eLux client infrastructure):</t>
  </si>
  <si>
    <t>Number of IT employees required for EUC (Windows 365 Link infrastructure):</t>
  </si>
  <si>
    <t>Employees/6000 clients</t>
  </si>
  <si>
    <t>Default</t>
  </si>
  <si>
    <t>Cost overview hybrid clients:</t>
  </si>
  <si>
    <t>Cost overview fat clients:</t>
  </si>
  <si>
    <t>Hybrid client acquisition costs:</t>
  </si>
  <si>
    <t>Windows 365 Link acquisition costs:</t>
  </si>
  <si>
    <t>Hybrid client deployment costs:</t>
  </si>
  <si>
    <t>Windows 365 Link deployment costs:</t>
  </si>
  <si>
    <t>TOTAL</t>
  </si>
  <si>
    <t>CO2 emissions related to eLux hybrid clients:</t>
  </si>
  <si>
    <t>CO2 emissions related to Windows 365 Link:</t>
  </si>
  <si>
    <t>Emissions overview mobile hybrid clients:</t>
  </si>
  <si>
    <t>Emissions overview Windows 365 Link:</t>
  </si>
  <si>
    <t>Hybrid client supply emissions:</t>
  </si>
  <si>
    <t>Windows 365 Link supply emissions: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</si>
</sst>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\ &quot;€&quot;_-;\-* #,##0\ &quot;€&quot;_-;_-* &quot;-&quot;??\ &quot;€&quot;_-;_-@"/>
    <numFmt numFmtId="165" formatCode="_-[$$-409]* #,##0_ ;_-[$$-409]* \-#,##0\ ;_-[$$-409]* &quot;-&quot;??_ ;_-@_ "/>
  </numFmts>
  <fonts count="19">
    <font>
      <sz val="11.0"/>
      <color theme="1"/>
      <name val="Calibri"/>
      <scheme val="minor"/>
    </font>
    <font>
      <sz val="11.0"/>
      <color theme="1"/>
      <name val="Calibri"/>
    </font>
    <font>
      <sz val="11.0"/>
      <color theme="1"/>
      <name val="Suisse Int'l"/>
    </font>
    <font>
      <b/>
      <sz val="18.0"/>
      <color theme="1"/>
      <name val="Suisse Int'l Light"/>
    </font>
    <font>
      <b/>
      <sz val="14.0"/>
      <color theme="1"/>
      <name val="Suisse Int'l Light"/>
    </font>
    <font>
      <b/>
      <sz val="14.0"/>
      <color theme="1"/>
      <name val="Suisse Int'l Semi Bold"/>
    </font>
    <font>
      <i/>
      <sz val="9.0"/>
      <color theme="1"/>
      <name val="Suisse Int'l"/>
    </font>
    <font>
      <b/>
      <sz val="11.0"/>
      <color theme="1"/>
      <name val="Suisse Int'l Semi Bold"/>
    </font>
    <font>
      <b/>
      <sz val="11.0"/>
      <color theme="1"/>
      <name val="Suisse Int'l"/>
    </font>
    <font>
      <sz val="11.0"/>
      <color theme="0"/>
      <name val="Suisse Int'l"/>
    </font>
    <font>
      <b/>
      <sz val="14.0"/>
      <color theme="1"/>
      <name val="Suisse Int'l"/>
    </font>
    <font>
      <sz val="14.0"/>
      <color theme="1"/>
      <name val="Suisse Int'l Semi Bold"/>
    </font>
    <font>
      <b/>
      <i/>
      <sz val="11.0"/>
      <color theme="1"/>
      <name val="Suisse Int'l Semi Bold"/>
    </font>
    <font>
      <sz val="9.0"/>
      <color theme="1"/>
      <name val="Calibri"/>
    </font>
    <font>
      <sz val="9.0"/>
      <color theme="1"/>
      <name val="Suisse Int'l"/>
    </font>
    <font>
      <b/>
      <sz val="14.0"/>
      <color theme="1"/>
      <name val="Calibri"/>
    </font>
    <font>
      <sz val="14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2E6EA"/>
        <bgColor rgb="FFE2E6EA"/>
      </patternFill>
    </fill>
    <fill>
      <patternFill patternType="solid">
        <fgColor rgb="FF154EC7"/>
        <bgColor rgb="FF154EC7"/>
      </patternFill>
    </fill>
    <fill>
      <patternFill patternType="solid">
        <fgColor rgb="FF7BA0F1"/>
        <bgColor rgb="FF7BA0F1"/>
      </patternFill>
    </fill>
    <fill>
      <patternFill patternType="solid">
        <fgColor rgb="FF59D7FF"/>
        <bgColor rgb="FF59D7FF"/>
      </patternFill>
    </fill>
    <fill>
      <patternFill patternType="solid">
        <fgColor rgb="FFBDEFFF"/>
        <bgColor rgb="FFBDE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38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/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154EC7"/>
      </left>
      <right/>
      <top style="medium">
        <color rgb="FF154EC7"/>
      </top>
      <bottom/>
    </border>
    <border>
      <left/>
      <right style="medium">
        <color rgb="FF154EC7"/>
      </right>
      <top style="medium">
        <color rgb="FF154EC7"/>
      </top>
      <bottom/>
    </border>
    <border>
      <left style="medium">
        <color rgb="FF154EC7"/>
      </left>
      <right/>
      <top/>
      <bottom style="medium">
        <color rgb="FF154EC7"/>
      </bottom>
    </border>
    <border>
      <left/>
      <right style="medium">
        <color rgb="FF154EC7"/>
      </right>
      <top/>
      <bottom style="medium">
        <color rgb="FF154EC7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 style="medium">
        <color rgb="FF154EC7"/>
      </top>
      <bottom/>
    </border>
    <border>
      <left/>
      <right/>
      <top/>
      <bottom style="medium">
        <color rgb="FF154EC7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top style="double">
        <color rgb="FF000000"/>
      </top>
    </border>
    <border>
      <left/>
      <right/>
      <top style="double">
        <color rgb="FF000000"/>
      </top>
      <bottom/>
    </border>
    <border>
      <top style="double">
        <color rgb="FF000000"/>
      </top>
    </border>
    <border>
      <left/>
      <right style="thin">
        <color rgb="FF000000"/>
      </right>
      <top style="double">
        <color rgb="FF000000"/>
      </top>
      <bottom/>
    </border>
    <border>
      <right style="thin">
        <color rgb="FF000000"/>
      </right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/>
      <right/>
      <top style="double">
        <color rgb="FF000000"/>
      </top>
      <bottom style="thin">
        <color rgb="FF000000"/>
      </bottom>
    </border>
    <border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left/>
      <right style="thin">
        <color rgb="FF000000"/>
      </right>
      <top style="double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5" fillId="2" fontId="1" numFmtId="0" xfId="0" applyBorder="1" applyFont="1"/>
    <xf borderId="4" fillId="2" fontId="2" numFmtId="0" xfId="0" applyBorder="1" applyFont="1"/>
    <xf borderId="6" fillId="2" fontId="1" numFmtId="0" xfId="0" applyBorder="1" applyFont="1"/>
    <xf borderId="4" fillId="2" fontId="3" numFmtId="0" xfId="0" applyBorder="1" applyFont="1"/>
    <xf borderId="4" fillId="2" fontId="4" numFmtId="0" xfId="0" applyBorder="1" applyFont="1"/>
    <xf borderId="7" fillId="2" fontId="5" numFmtId="0" xfId="0" applyBorder="1" applyFont="1"/>
    <xf borderId="7" fillId="2" fontId="2" numFmtId="0" xfId="0" applyBorder="1" applyFont="1"/>
    <xf borderId="4" fillId="2" fontId="6" numFmtId="0" xfId="0" applyBorder="1" applyFont="1"/>
    <xf borderId="8" fillId="2" fontId="2" numFmtId="0" xfId="0" applyBorder="1" applyFont="1"/>
    <xf borderId="8" fillId="3" fontId="2" numFmtId="3" xfId="0" applyBorder="1" applyFill="1" applyFont="1" applyNumberFormat="1"/>
    <xf borderId="8" fillId="3" fontId="2" numFmtId="3" xfId="0" applyAlignment="1" applyBorder="1" applyFont="1" applyNumberFormat="1">
      <alignment readingOrder="0"/>
    </xf>
    <xf borderId="4" fillId="2" fontId="7" numFmtId="0" xfId="0" applyBorder="1" applyFont="1"/>
    <xf borderId="8" fillId="3" fontId="2" numFmtId="164" xfId="0" applyBorder="1" applyFont="1" applyNumberFormat="1"/>
    <xf borderId="8" fillId="3" fontId="2" numFmtId="165" xfId="0" applyBorder="1" applyFont="1" applyNumberFormat="1"/>
    <xf borderId="8" fillId="3" fontId="2" numFmtId="0" xfId="0" applyBorder="1" applyFont="1"/>
    <xf borderId="8" fillId="3" fontId="2" numFmtId="0" xfId="0" applyAlignment="1" applyBorder="1" applyFont="1">
      <alignment readingOrder="0"/>
    </xf>
    <xf borderId="9" fillId="0" fontId="2" numFmtId="0" xfId="0" applyBorder="1" applyFont="1"/>
    <xf borderId="10" fillId="2" fontId="8" numFmtId="0" xfId="0" applyBorder="1" applyFont="1"/>
    <xf borderId="11" fillId="4" fontId="9" numFmtId="0" xfId="0" applyBorder="1" applyFill="1" applyFont="1"/>
    <xf borderId="11" fillId="4" fontId="9" numFmtId="165" xfId="0" applyBorder="1" applyFont="1" applyNumberFormat="1"/>
    <xf borderId="8" fillId="5" fontId="2" numFmtId="0" xfId="0" applyBorder="1" applyFill="1" applyFont="1"/>
    <xf borderId="8" fillId="5" fontId="2" numFmtId="165" xfId="0" applyBorder="1" applyFont="1" applyNumberFormat="1"/>
    <xf borderId="8" fillId="6" fontId="2" numFmtId="0" xfId="0" applyBorder="1" applyFill="1" applyFont="1"/>
    <xf borderId="8" fillId="6" fontId="2" numFmtId="165" xfId="0" applyBorder="1" applyFont="1" applyNumberFormat="1"/>
    <xf borderId="8" fillId="7" fontId="2" numFmtId="0" xfId="0" applyBorder="1" applyFill="1" applyFont="1"/>
    <xf borderId="8" fillId="7" fontId="2" numFmtId="165" xfId="0" applyBorder="1" applyFont="1" applyNumberFormat="1"/>
    <xf borderId="4" fillId="2" fontId="10" numFmtId="0" xfId="0" applyAlignment="1" applyBorder="1" applyFont="1">
      <alignment vertical="center"/>
    </xf>
    <xf borderId="4" fillId="2" fontId="2" numFmtId="0" xfId="0" applyAlignment="1" applyBorder="1" applyFont="1">
      <alignment vertical="center"/>
    </xf>
    <xf borderId="12" fillId="2" fontId="7" numFmtId="0" xfId="0" applyAlignment="1" applyBorder="1" applyFont="1">
      <alignment horizontal="left"/>
    </xf>
    <xf borderId="13" fillId="2" fontId="2" numFmtId="0" xfId="0" applyBorder="1" applyFont="1"/>
    <xf borderId="14" fillId="2" fontId="5" numFmtId="165" xfId="0" applyAlignment="1" applyBorder="1" applyFont="1" applyNumberFormat="1">
      <alignment horizontal="left"/>
    </xf>
    <xf borderId="15" fillId="2" fontId="11" numFmtId="9" xfId="0" applyBorder="1" applyFont="1" applyNumberFormat="1"/>
    <xf borderId="4" fillId="2" fontId="12" numFmtId="0" xfId="0" applyBorder="1" applyFont="1"/>
    <xf borderId="5" fillId="2" fontId="13" numFmtId="0" xfId="0" applyBorder="1" applyFont="1"/>
    <xf borderId="4" fillId="2" fontId="14" numFmtId="0" xfId="0" applyBorder="1" applyFont="1"/>
    <xf borderId="6" fillId="2" fontId="13" numFmtId="0" xfId="0" applyBorder="1" applyFont="1"/>
    <xf borderId="4" fillId="2" fontId="13" numFmtId="0" xfId="0" applyBorder="1" applyFont="1"/>
    <xf borderId="16" fillId="2" fontId="6" numFmtId="0" xfId="0" applyBorder="1" applyFont="1"/>
    <xf borderId="16" fillId="2" fontId="14" numFmtId="0" xfId="0" applyBorder="1" applyFont="1"/>
    <xf borderId="17" fillId="2" fontId="6" numFmtId="0" xfId="0" applyBorder="1" applyFont="1"/>
    <xf borderId="17" fillId="2" fontId="14" numFmtId="0" xfId="0" applyBorder="1" applyFont="1"/>
    <xf borderId="11" fillId="4" fontId="9" numFmtId="3" xfId="0" applyBorder="1" applyFont="1" applyNumberFormat="1"/>
    <xf borderId="8" fillId="6" fontId="2" numFmtId="3" xfId="0" applyBorder="1" applyFont="1" applyNumberFormat="1"/>
    <xf borderId="18" fillId="2" fontId="2" numFmtId="0" xfId="0" applyBorder="1" applyFont="1"/>
    <xf borderId="14" fillId="2" fontId="5" numFmtId="3" xfId="0" applyAlignment="1" applyBorder="1" applyFont="1" applyNumberFormat="1">
      <alignment horizontal="right"/>
    </xf>
    <xf borderId="19" fillId="2" fontId="11" numFmtId="9" xfId="0" applyBorder="1" applyFont="1" applyNumberFormat="1"/>
    <xf borderId="15" fillId="2" fontId="11" numFmtId="9" xfId="0" applyAlignment="1" applyBorder="1" applyFont="1" applyNumberFormat="1">
      <alignment horizontal="left"/>
    </xf>
    <xf borderId="20" fillId="2" fontId="1" numFmtId="0" xfId="0" applyBorder="1" applyFont="1"/>
    <xf borderId="21" fillId="2" fontId="1" numFmtId="0" xfId="0" applyBorder="1" applyFont="1"/>
    <xf borderId="22" fillId="2" fontId="1" numFmtId="0" xfId="0" applyBorder="1" applyFont="1"/>
    <xf borderId="23" fillId="0" fontId="15" numFmtId="0" xfId="0" applyBorder="1" applyFont="1"/>
    <xf borderId="24" fillId="0" fontId="16" numFmtId="0" xfId="0" applyBorder="1" applyFont="1"/>
    <xf borderId="24" fillId="0" fontId="15" numFmtId="0" xfId="0" applyBorder="1" applyFont="1"/>
    <xf borderId="25" fillId="0" fontId="16" numFmtId="0" xfId="0" applyBorder="1" applyFont="1"/>
    <xf borderId="0" fillId="0" fontId="16" numFmtId="0" xfId="0" applyFont="1"/>
    <xf borderId="26" fillId="0" fontId="1" numFmtId="0" xfId="0" applyBorder="1" applyFont="1"/>
    <xf borderId="4" fillId="8" fontId="1" numFmtId="165" xfId="0" applyBorder="1" applyFill="1" applyFont="1" applyNumberFormat="1"/>
    <xf borderId="0" fillId="0" fontId="17" numFmtId="0" xfId="0" applyFont="1"/>
    <xf borderId="27" fillId="8" fontId="1" numFmtId="165" xfId="0" applyBorder="1" applyFont="1" applyNumberFormat="1"/>
    <xf borderId="28" fillId="0" fontId="1" numFmtId="0" xfId="0" applyBorder="1" applyFont="1"/>
    <xf borderId="29" fillId="9" fontId="1" numFmtId="165" xfId="0" applyBorder="1" applyFill="1" applyFont="1" applyNumberFormat="1"/>
    <xf borderId="30" fillId="0" fontId="1" numFmtId="0" xfId="0" applyBorder="1" applyFont="1"/>
    <xf borderId="31" fillId="9" fontId="1" numFmtId="165" xfId="0" applyBorder="1" applyFont="1" applyNumberFormat="1"/>
    <xf borderId="4" fillId="9" fontId="1" numFmtId="165" xfId="0" applyBorder="1" applyFont="1" applyNumberFormat="1"/>
    <xf borderId="0" fillId="0" fontId="1" numFmtId="0" xfId="0" applyFont="1"/>
    <xf borderId="27" fillId="9" fontId="1" numFmtId="165" xfId="0" applyBorder="1" applyFont="1" applyNumberFormat="1"/>
    <xf borderId="32" fillId="0" fontId="1" numFmtId="0" xfId="0" applyBorder="1" applyFont="1"/>
    <xf borderId="29" fillId="8" fontId="1" numFmtId="165" xfId="0" applyBorder="1" applyFont="1" applyNumberFormat="1"/>
    <xf borderId="31" fillId="8" fontId="1" numFmtId="165" xfId="0" applyBorder="1" applyFont="1" applyNumberFormat="1"/>
    <xf borderId="4" fillId="8" fontId="1" numFmtId="0" xfId="0" applyBorder="1" applyFont="1"/>
    <xf borderId="27" fillId="8" fontId="1" numFmtId="0" xfId="0" applyBorder="1" applyFont="1"/>
    <xf borderId="29" fillId="9" fontId="1" numFmtId="0" xfId="0" applyBorder="1" applyFont="1"/>
    <xf borderId="31" fillId="9" fontId="1" numFmtId="0" xfId="0" applyBorder="1" applyFont="1"/>
    <xf borderId="26" fillId="0" fontId="18" numFmtId="0" xfId="0" applyBorder="1" applyFont="1"/>
    <xf borderId="0" fillId="0" fontId="18" numFmtId="0" xfId="0" applyFont="1"/>
    <xf borderId="33" fillId="0" fontId="18" numFmtId="0" xfId="0" applyBorder="1" applyFont="1"/>
    <xf borderId="34" fillId="8" fontId="1" numFmtId="165" xfId="0" applyBorder="1" applyFont="1" applyNumberFormat="1"/>
    <xf borderId="35" fillId="0" fontId="1" numFmtId="0" xfId="0" applyBorder="1" applyFont="1"/>
    <xf borderId="36" fillId="0" fontId="18" numFmtId="0" xfId="0" applyBorder="1" applyFont="1"/>
    <xf borderId="37" fillId="8" fontId="1" numFmtId="165" xfId="0" applyBorder="1" applyFont="1" applyNumberFormat="1"/>
    <xf borderId="4" fillId="8" fontId="1" numFmtId="2" xfId="0" applyBorder="1" applyFont="1" applyNumberFormat="1"/>
    <xf borderId="27" fillId="8" fontId="1" numFmtId="2" xfId="0" applyBorder="1" applyFont="1" applyNumberFormat="1"/>
    <xf borderId="29" fillId="8" fontId="1" numFmtId="2" xfId="0" applyBorder="1" applyFont="1" applyNumberFormat="1"/>
    <xf borderId="31" fillId="8" fontId="1" numFmtId="2" xfId="0" applyBorder="1" applyFont="1" applyNumberFormat="1"/>
    <xf borderId="34" fillId="8" fontId="1" numFmtId="2" xfId="0" applyBorder="1" applyFont="1" applyNumberFormat="1"/>
    <xf borderId="37" fillId="8" fontId="1" numFmtId="2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757575"/>
                </a:solidFill>
                <a:latin typeface="Suisse Int'l Semi Bold"/>
              </a:defRPr>
            </a:pPr>
            <a:r>
              <a:rPr b="1" i="0" sz="1600">
                <a:solidFill>
                  <a:srgbClr val="757575"/>
                </a:solidFill>
                <a:latin typeface="Suisse Int'l Semi Bold"/>
              </a:rPr>
              <a:t>Total Costs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Acquisition</c:v>
          </c:tx>
          <c:spPr>
            <a:solidFill>
              <a:srgbClr val="154EC7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case'!$D$34:$E$34</c:f>
            </c:strRef>
          </c:cat>
          <c:val>
            <c:numRef>
              <c:f>'TCO &amp; CO2 - mobile use case'!$D$35:$E$35</c:f>
              <c:numCache/>
            </c:numRef>
          </c:val>
        </c:ser>
        <c:ser>
          <c:idx val="1"/>
          <c:order val="1"/>
          <c:tx>
            <c:v>Deployment</c:v>
          </c:tx>
          <c:spPr>
            <a:solidFill>
              <a:srgbClr val="7BA0F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case'!$D$34:$E$34</c:f>
            </c:strRef>
          </c:cat>
          <c:val>
            <c:numRef>
              <c:f>'TCO &amp; CO2 - mobile use case'!$D$36:$E$36</c:f>
              <c:numCache/>
            </c:numRef>
          </c:val>
        </c:ser>
        <c:ser>
          <c:idx val="2"/>
          <c:order val="2"/>
          <c:tx>
            <c:v>Licensing</c:v>
          </c:tx>
          <c:spPr>
            <a:solidFill>
              <a:srgbClr val="59D7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case'!$D$34:$E$34</c:f>
            </c:strRef>
          </c:cat>
          <c:val>
            <c:numRef>
              <c:f>'TCO &amp; CO2 - mobile use case'!$D$37:$E$37</c:f>
              <c:numCache/>
            </c:numRef>
          </c:val>
        </c:ser>
        <c:ser>
          <c:idx val="3"/>
          <c:order val="3"/>
          <c:tx>
            <c:v>Maintenance</c:v>
          </c:tx>
          <c:spPr>
            <a:solidFill>
              <a:srgbClr val="BDEF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case'!$D$34:$E$34</c:f>
            </c:strRef>
          </c:cat>
          <c:val>
            <c:numRef>
              <c:f>'TCO &amp; CO2 - mobile use case'!$D$38:$E$38</c:f>
              <c:numCache/>
            </c:numRef>
          </c:val>
        </c:ser>
        <c:overlap val="100"/>
        <c:axId val="1633473202"/>
        <c:axId val="1239492291"/>
      </c:barChart>
      <c:catAx>
        <c:axId val="16334732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Suisse Int'l"/>
              </a:defRPr>
            </a:pPr>
          </a:p>
        </c:txPr>
        <c:crossAx val="1239492291"/>
      </c:catAx>
      <c:valAx>
        <c:axId val="12394922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Suisse Int'l"/>
              </a:defRPr>
            </a:pPr>
          </a:p>
        </c:txPr>
        <c:crossAx val="1633473202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Suisse Int'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757575"/>
                </a:solidFill>
                <a:latin typeface="Suisse Int'l Semi Bold"/>
              </a:defRPr>
            </a:pPr>
            <a:r>
              <a:rPr b="1" i="0" sz="1600">
                <a:solidFill>
                  <a:srgbClr val="757575"/>
                </a:solidFill>
                <a:latin typeface="Suisse Int'l Semi Bold"/>
              </a:rPr>
              <a:t>Total CO² Emissions (kg)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Supply</c:v>
          </c:tx>
          <c:spPr>
            <a:solidFill>
              <a:srgbClr val="154EC7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case'!$D$64:$E$64</c:f>
            </c:strRef>
          </c:cat>
          <c:val>
            <c:numRef>
              <c:f>'TCO &amp; CO2 - mobile use case'!$D$65:$E$65</c:f>
              <c:numCache/>
            </c:numRef>
          </c:val>
        </c:ser>
        <c:ser>
          <c:idx val="1"/>
          <c:order val="1"/>
          <c:tx>
            <c:v>Use</c:v>
          </c:tx>
          <c:spPr>
            <a:solidFill>
              <a:srgbClr val="59D7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case'!$D$64:$E$64</c:f>
            </c:strRef>
          </c:cat>
          <c:val>
            <c:numRef>
              <c:f>'TCO &amp; CO2 - mobile use case'!$D$66:$E$66</c:f>
              <c:numCache/>
            </c:numRef>
          </c:val>
        </c:ser>
        <c:overlap val="100"/>
        <c:axId val="985034104"/>
        <c:axId val="281025635"/>
      </c:barChart>
      <c:catAx>
        <c:axId val="985034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Suisse Int'l"/>
              </a:defRPr>
            </a:pPr>
          </a:p>
        </c:txPr>
        <c:crossAx val="281025635"/>
      </c:catAx>
      <c:valAx>
        <c:axId val="2810256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Suisse Int'l"/>
              </a:defRPr>
            </a:pPr>
          </a:p>
        </c:txPr>
        <c:crossAx val="985034104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Suisse Int'l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32</xdr:row>
      <xdr:rowOff>180975</xdr:rowOff>
    </xdr:from>
    <xdr:ext cx="6429375" cy="3819525"/>
    <xdr:graphicFrame>
      <xdr:nvGraphicFramePr>
        <xdr:cNvPr id="155588164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0</xdr:colOff>
      <xdr:row>62</xdr:row>
      <xdr:rowOff>180975</xdr:rowOff>
    </xdr:from>
    <xdr:ext cx="6429375" cy="3819525"/>
    <xdr:graphicFrame>
      <xdr:nvGraphicFramePr>
        <xdr:cNvPr id="179082324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2371725</xdr:colOff>
      <xdr:row>1</xdr:row>
      <xdr:rowOff>0</xdr:rowOff>
    </xdr:from>
    <xdr:ext cx="2800350" cy="590550"/>
    <xdr:pic>
      <xdr:nvPicPr>
        <xdr:cNvPr descr="A blue and white rectangular sign&#10;&#10;Description automatically generated"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1.14"/>
    <col customWidth="1" min="3" max="3" width="21.14"/>
    <col customWidth="1" min="4" max="4" width="35.86"/>
    <col customWidth="1" min="5" max="5" width="23.43"/>
    <col customWidth="1" min="6" max="26" width="9.14"/>
  </cols>
  <sheetData>
    <row r="1" ht="15.75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/>
      <c r="C2" s="6"/>
      <c r="D2" s="6"/>
      <c r="E2" s="6"/>
      <c r="F2" s="6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B3" s="8" t="s">
        <v>0</v>
      </c>
      <c r="C3" s="6"/>
      <c r="D3" s="6"/>
      <c r="E3" s="6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B4" s="9" t="s">
        <v>1</v>
      </c>
      <c r="C4" s="6"/>
      <c r="D4" s="6"/>
      <c r="E4" s="6"/>
      <c r="F4" s="6"/>
      <c r="G4" s="6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B5" s="6"/>
      <c r="C5" s="6"/>
      <c r="D5" s="6"/>
      <c r="E5" s="6"/>
      <c r="F5" s="6"/>
      <c r="G5" s="6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B6" s="6"/>
      <c r="C6" s="6"/>
      <c r="D6" s="6"/>
      <c r="E6" s="6"/>
      <c r="F6" s="6"/>
      <c r="G6" s="6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B7" s="6"/>
      <c r="C7" s="6"/>
      <c r="D7" s="6"/>
      <c r="E7" s="6"/>
      <c r="F7" s="6"/>
      <c r="G7" s="6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B8" s="10" t="s">
        <v>2</v>
      </c>
      <c r="C8" s="11"/>
      <c r="D8" s="11"/>
      <c r="E8" s="11"/>
      <c r="F8" s="11"/>
      <c r="G8" s="11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5"/>
      <c r="B9" s="6"/>
      <c r="C9" s="6"/>
      <c r="D9" s="6"/>
      <c r="E9" s="6"/>
      <c r="F9" s="6"/>
      <c r="G9" s="6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/>
      <c r="B10" s="12" t="s">
        <v>3</v>
      </c>
      <c r="C10" s="6"/>
      <c r="D10" s="6"/>
      <c r="E10" s="6"/>
      <c r="F10" s="6"/>
      <c r="G10" s="6"/>
      <c r="H10" s="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5"/>
      <c r="B11" s="6"/>
      <c r="C11" s="6"/>
      <c r="D11" s="6"/>
      <c r="E11" s="6"/>
      <c r="F11" s="6"/>
      <c r="G11" s="6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5"/>
      <c r="B12" s="13" t="s">
        <v>4</v>
      </c>
      <c r="C12" s="14">
        <v>5000.0</v>
      </c>
      <c r="D12" s="6"/>
      <c r="E12" s="6"/>
      <c r="F12" s="6"/>
      <c r="G12" s="6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5"/>
      <c r="B13" s="13" t="s">
        <v>5</v>
      </c>
      <c r="C13" s="15">
        <v>5000.0</v>
      </c>
      <c r="D13" s="6"/>
      <c r="E13" s="6"/>
      <c r="F13" s="6"/>
      <c r="G13" s="6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5"/>
      <c r="B14" s="6"/>
      <c r="C14" s="6"/>
      <c r="D14" s="6"/>
      <c r="E14" s="6"/>
      <c r="F14" s="6"/>
      <c r="G14" s="6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5"/>
      <c r="B15" s="16" t="s">
        <v>6</v>
      </c>
      <c r="C15" s="6"/>
      <c r="D15" s="6"/>
      <c r="E15" s="6"/>
      <c r="F15" s="6"/>
      <c r="G15" s="6"/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5"/>
      <c r="B16" s="13" t="s">
        <v>7</v>
      </c>
      <c r="C16" s="17">
        <f>'Hidden calculations'!B11</f>
        <v>150</v>
      </c>
      <c r="D16" s="6"/>
      <c r="E16" s="6"/>
      <c r="F16" s="6"/>
      <c r="G16" s="6"/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/>
      <c r="B17" s="6"/>
      <c r="C17" s="6"/>
      <c r="D17" s="6"/>
      <c r="E17" s="6"/>
      <c r="F17" s="6"/>
      <c r="G17" s="6"/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5"/>
      <c r="B18" s="16" t="s">
        <v>8</v>
      </c>
      <c r="C18" s="6"/>
      <c r="D18" s="6"/>
      <c r="E18" s="6"/>
      <c r="F18" s="6"/>
      <c r="G18" s="6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5"/>
      <c r="B19" s="13" t="s">
        <v>9</v>
      </c>
      <c r="C19" s="18">
        <f>SUM('Hidden calculations'!E3:E4)</f>
        <v>349</v>
      </c>
      <c r="D19" s="6"/>
      <c r="E19" s="6"/>
      <c r="F19" s="6"/>
      <c r="G19" s="6"/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5"/>
      <c r="B20" s="13" t="s">
        <v>10</v>
      </c>
      <c r="C20" s="18">
        <f>SUM('Hidden calculations'!E7:E8)</f>
        <v>92</v>
      </c>
      <c r="D20" s="6"/>
      <c r="E20" s="6"/>
      <c r="F20" s="6"/>
      <c r="G20" s="6"/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5"/>
      <c r="B21" s="13" t="s">
        <v>11</v>
      </c>
      <c r="C21" s="18">
        <f>'Hidden calculations'!E12</f>
        <v>600</v>
      </c>
      <c r="D21" s="6"/>
      <c r="E21" s="6"/>
      <c r="F21" s="6"/>
      <c r="G21" s="6"/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5"/>
      <c r="B22" s="13" t="s">
        <v>12</v>
      </c>
      <c r="C22" s="18">
        <f>'Hidden calculations'!E13</f>
        <v>408</v>
      </c>
      <c r="D22" s="6"/>
      <c r="E22" s="6"/>
      <c r="F22" s="6"/>
      <c r="G22" s="6"/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5"/>
      <c r="B23" s="13" t="s">
        <v>13</v>
      </c>
      <c r="C23" s="18">
        <f>'Hidden calculations'!E16</f>
        <v>40</v>
      </c>
      <c r="D23" s="6"/>
      <c r="E23" s="6"/>
      <c r="F23" s="6"/>
      <c r="G23" s="6"/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5"/>
      <c r="B24" s="13" t="s">
        <v>14</v>
      </c>
      <c r="C24" s="19">
        <f>ROUNDUP(C12/6000*'Hidden calculations'!E19,0)</f>
        <v>4</v>
      </c>
      <c r="D24" s="6"/>
      <c r="E24" s="6"/>
      <c r="F24" s="6"/>
      <c r="G24" s="6"/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5"/>
      <c r="B25" s="13" t="s">
        <v>15</v>
      </c>
      <c r="C25" s="17">
        <f>'Hidden calculations'!E22</f>
        <v>60000</v>
      </c>
      <c r="D25" s="6"/>
      <c r="E25" s="6"/>
      <c r="F25" s="6"/>
      <c r="G25" s="6"/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5"/>
      <c r="B26" s="6"/>
      <c r="C26" s="6"/>
      <c r="D26" s="6"/>
      <c r="E26" s="6"/>
      <c r="F26" s="6"/>
      <c r="G26" s="6"/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5"/>
      <c r="B27" s="6"/>
      <c r="C27" s="6"/>
      <c r="D27" s="6"/>
      <c r="E27" s="6"/>
      <c r="F27" s="6"/>
      <c r="G27" s="6"/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5"/>
      <c r="B28" s="13" t="s">
        <v>16</v>
      </c>
      <c r="C28" s="20">
        <v>3.0</v>
      </c>
      <c r="D28" s="13" t="s">
        <v>17</v>
      </c>
      <c r="E28" s="6"/>
      <c r="F28" s="6"/>
      <c r="G28" s="6"/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5"/>
      <c r="B29" s="6"/>
      <c r="C29" s="6"/>
      <c r="D29" s="6"/>
      <c r="E29" s="6"/>
      <c r="F29" s="6"/>
      <c r="G29" s="6"/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5"/>
      <c r="B30" s="6"/>
      <c r="C30" s="6"/>
      <c r="D30" s="6"/>
      <c r="E30" s="6"/>
      <c r="F30" s="6"/>
      <c r="G30" s="6"/>
      <c r="H30" s="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5"/>
      <c r="B31" s="6"/>
      <c r="C31" s="6"/>
      <c r="D31" s="6"/>
      <c r="E31" s="6"/>
      <c r="F31" s="6"/>
      <c r="G31" s="6"/>
      <c r="H31" s="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5"/>
      <c r="B32" s="10" t="s">
        <v>18</v>
      </c>
      <c r="C32" s="11"/>
      <c r="D32" s="11"/>
      <c r="E32" s="21"/>
      <c r="F32" s="11"/>
      <c r="G32" s="11"/>
      <c r="H32" s="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5"/>
      <c r="B33" s="6"/>
      <c r="C33" s="6"/>
      <c r="D33" s="6"/>
      <c r="E33" s="6"/>
      <c r="F33" s="6"/>
      <c r="G33" s="6"/>
      <c r="H33" s="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5"/>
      <c r="B34" s="4"/>
      <c r="C34" s="22" t="s">
        <v>19</v>
      </c>
      <c r="D34" s="22" t="s">
        <v>20</v>
      </c>
      <c r="E34" s="22" t="s">
        <v>21</v>
      </c>
      <c r="F34" s="6"/>
      <c r="G34" s="6"/>
      <c r="H34" s="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5"/>
      <c r="B35" s="4"/>
      <c r="C35" s="23" t="s">
        <v>22</v>
      </c>
      <c r="D35" s="24">
        <f>'Hidden calculations'!E26</f>
        <v>1745000</v>
      </c>
      <c r="E35" s="24">
        <f>'Hidden calculations'!B26</f>
        <v>0</v>
      </c>
      <c r="F35" s="6"/>
      <c r="G35" s="6"/>
      <c r="H35" s="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5"/>
      <c r="B36" s="6"/>
      <c r="C36" s="25" t="s">
        <v>23</v>
      </c>
      <c r="D36" s="26">
        <f>'Hidden calculations'!E27</f>
        <v>460000</v>
      </c>
      <c r="E36" s="26">
        <f>'Hidden calculations'!B27</f>
        <v>460000</v>
      </c>
      <c r="F36" s="6"/>
      <c r="G36" s="6"/>
      <c r="H36" s="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5"/>
      <c r="B37" s="6"/>
      <c r="C37" s="27" t="s">
        <v>24</v>
      </c>
      <c r="D37" s="28">
        <f>'Hidden calculations'!E28</f>
        <v>15720000</v>
      </c>
      <c r="E37" s="28">
        <f>'Hidden calculations'!B28</f>
        <v>8370000</v>
      </c>
      <c r="F37" s="6"/>
      <c r="G37" s="6"/>
      <c r="H37" s="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5"/>
      <c r="B38" s="6"/>
      <c r="C38" s="29" t="s">
        <v>25</v>
      </c>
      <c r="D38" s="30">
        <f>'Hidden calculations'!E29</f>
        <v>720000</v>
      </c>
      <c r="E38" s="30">
        <f>'Hidden calculations'!B29</f>
        <v>720000</v>
      </c>
      <c r="F38" s="6"/>
      <c r="G38" s="6"/>
      <c r="H38" s="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5"/>
      <c r="B39" s="6"/>
      <c r="C39" s="6"/>
      <c r="D39" s="6"/>
      <c r="E39" s="6"/>
      <c r="F39" s="6"/>
      <c r="G39" s="6"/>
      <c r="H39" s="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5"/>
      <c r="B40" s="6"/>
      <c r="C40" s="6"/>
      <c r="D40" s="6"/>
      <c r="E40" s="6"/>
      <c r="F40" s="6"/>
      <c r="G40" s="6"/>
      <c r="H40" s="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5"/>
      <c r="B41" s="6"/>
      <c r="C41" s="6"/>
      <c r="D41" s="6"/>
      <c r="E41" s="6"/>
      <c r="F41" s="6"/>
      <c r="G41" s="6"/>
      <c r="H41" s="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5"/>
      <c r="B42" s="6"/>
      <c r="C42" s="6"/>
      <c r="D42" s="6"/>
      <c r="E42" s="6"/>
      <c r="F42" s="6"/>
      <c r="G42" s="6"/>
      <c r="H42" s="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5"/>
      <c r="B43" s="6"/>
      <c r="C43" s="6"/>
      <c r="D43" s="6"/>
      <c r="E43" s="6"/>
      <c r="F43" s="6"/>
      <c r="G43" s="6"/>
      <c r="H43" s="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5"/>
      <c r="B44" s="6"/>
      <c r="C44" s="6"/>
      <c r="D44" s="6"/>
      <c r="E44" s="6"/>
      <c r="F44" s="6"/>
      <c r="G44" s="6"/>
      <c r="H44" s="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"/>
      <c r="B45" s="6"/>
      <c r="C45" s="6"/>
      <c r="D45" s="6"/>
      <c r="E45" s="6"/>
      <c r="F45" s="6"/>
      <c r="G45" s="6"/>
      <c r="H45" s="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5"/>
      <c r="B46" s="6"/>
      <c r="C46" s="31"/>
      <c r="D46" s="6"/>
      <c r="E46" s="6"/>
      <c r="F46" s="6"/>
      <c r="G46" s="6"/>
      <c r="H46" s="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5"/>
      <c r="B47" s="6"/>
      <c r="C47" s="6"/>
      <c r="D47" s="6"/>
      <c r="E47" s="6"/>
      <c r="F47" s="6"/>
      <c r="G47" s="6"/>
      <c r="H47" s="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5"/>
      <c r="B48" s="6"/>
      <c r="C48" s="32"/>
      <c r="D48" s="6"/>
      <c r="E48" s="6"/>
      <c r="F48" s="6"/>
      <c r="G48" s="6"/>
      <c r="H48" s="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"/>
      <c r="B49" s="6"/>
      <c r="C49" s="32"/>
      <c r="D49" s="6"/>
      <c r="E49" s="6"/>
      <c r="F49" s="6"/>
      <c r="G49" s="6"/>
      <c r="H49" s="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5"/>
      <c r="B50" s="6"/>
      <c r="C50" s="6"/>
      <c r="D50" s="6"/>
      <c r="E50" s="6"/>
      <c r="F50" s="6"/>
      <c r="G50" s="6"/>
      <c r="H50" s="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5"/>
      <c r="B51" s="6"/>
      <c r="C51" s="33" t="str">
        <f>CONCATENATE("Savings after ",$C$28," years:")</f>
        <v>Savings after 3 years:</v>
      </c>
      <c r="D51" s="34"/>
      <c r="E51" s="6"/>
      <c r="F51" s="6"/>
      <c r="G51" s="6"/>
      <c r="H51" s="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5"/>
      <c r="B52" s="6"/>
      <c r="C52" s="35">
        <f>'Hidden calculations'!E30-'Hidden calculations'!B30</f>
        <v>9095000</v>
      </c>
      <c r="D52" s="36">
        <f>1-SUM(E35:E38)/SUM(D35:D38)</f>
        <v>0.4877983374</v>
      </c>
      <c r="E52" s="6"/>
      <c r="F52" s="6"/>
      <c r="G52" s="6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5"/>
      <c r="B53" s="6"/>
      <c r="C53" s="6"/>
      <c r="D53" s="6"/>
      <c r="E53" s="6"/>
      <c r="F53" s="6"/>
      <c r="G53" s="6"/>
      <c r="H53" s="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5"/>
      <c r="B54" s="6"/>
      <c r="C54" s="6"/>
      <c r="D54" s="6"/>
      <c r="E54" s="6"/>
      <c r="F54" s="6"/>
      <c r="G54" s="6"/>
      <c r="H54" s="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5"/>
      <c r="B55" s="37" t="s">
        <v>26</v>
      </c>
      <c r="C55" s="6"/>
      <c r="D55" s="6"/>
      <c r="E55" s="6"/>
      <c r="F55" s="6"/>
      <c r="G55" s="6"/>
      <c r="H55" s="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8"/>
      <c r="B56" s="12" t="s">
        <v>27</v>
      </c>
      <c r="C56" s="39"/>
      <c r="D56" s="39"/>
      <c r="E56" s="39"/>
      <c r="F56" s="39"/>
      <c r="G56" s="39"/>
      <c r="H56" s="40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ht="15.75" customHeight="1">
      <c r="A57" s="38"/>
      <c r="B57" s="12" t="s">
        <v>28</v>
      </c>
      <c r="C57" s="39"/>
      <c r="D57" s="39"/>
      <c r="E57" s="39"/>
      <c r="F57" s="39"/>
      <c r="G57" s="39"/>
      <c r="H57" s="40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ht="15.75" customHeight="1">
      <c r="A58" s="38"/>
      <c r="B58" s="12" t="s">
        <v>29</v>
      </c>
      <c r="C58" s="39"/>
      <c r="D58" s="39"/>
      <c r="E58" s="39"/>
      <c r="F58" s="39"/>
      <c r="G58" s="39"/>
      <c r="H58" s="40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ht="15.75" customHeight="1">
      <c r="A59" s="38"/>
      <c r="B59" s="12" t="s">
        <v>30</v>
      </c>
      <c r="C59" s="39"/>
      <c r="D59" s="39"/>
      <c r="E59" s="39"/>
      <c r="F59" s="39"/>
      <c r="G59" s="39"/>
      <c r="H59" s="40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ht="15.75" customHeight="1">
      <c r="A60" s="38"/>
      <c r="B60" s="42"/>
      <c r="C60" s="43"/>
      <c r="D60" s="43"/>
      <c r="E60" s="43"/>
      <c r="F60" s="43"/>
      <c r="G60" s="43"/>
      <c r="H60" s="40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ht="15.75" customHeight="1">
      <c r="A61" s="38"/>
      <c r="B61" s="44"/>
      <c r="C61" s="45"/>
      <c r="D61" s="45"/>
      <c r="E61" s="45"/>
      <c r="F61" s="45"/>
      <c r="G61" s="45"/>
      <c r="H61" s="40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ht="15.75" customHeight="1">
      <c r="A62" s="38"/>
      <c r="B62" s="12"/>
      <c r="C62" s="39"/>
      <c r="D62" s="39"/>
      <c r="E62" s="39"/>
      <c r="F62" s="39"/>
      <c r="G62" s="39"/>
      <c r="H62" s="40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ht="15.75" customHeight="1">
      <c r="A63" s="5"/>
      <c r="B63" s="6"/>
      <c r="C63" s="6"/>
      <c r="D63" s="6"/>
      <c r="E63" s="6"/>
      <c r="F63" s="6"/>
      <c r="G63" s="6"/>
      <c r="H63" s="7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ht="15.75" customHeight="1">
      <c r="A64" s="5"/>
      <c r="B64" s="4"/>
      <c r="C64" s="22" t="s">
        <v>31</v>
      </c>
      <c r="D64" s="22" t="s">
        <v>20</v>
      </c>
      <c r="E64" s="22" t="s">
        <v>21</v>
      </c>
      <c r="F64" s="6"/>
      <c r="G64" s="6"/>
      <c r="H64" s="7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ht="15.75" customHeight="1">
      <c r="A65" s="5"/>
      <c r="B65" s="4"/>
      <c r="C65" s="23" t="s">
        <v>32</v>
      </c>
      <c r="D65" s="46">
        <f>'Hidden calculations'!E41</f>
        <v>1303100</v>
      </c>
      <c r="E65" s="46">
        <f>'Hidden calculations'!B41</f>
        <v>0</v>
      </c>
      <c r="F65" s="6"/>
      <c r="G65" s="6"/>
      <c r="H65" s="7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ht="15.75" customHeight="1">
      <c r="A66" s="5"/>
      <c r="B66" s="6"/>
      <c r="C66" s="27" t="s">
        <v>33</v>
      </c>
      <c r="D66" s="47">
        <f>'Hidden calculations'!E42</f>
        <v>188400</v>
      </c>
      <c r="E66" s="47">
        <f>'Hidden calculations'!B42</f>
        <v>188400</v>
      </c>
      <c r="F66" s="6"/>
      <c r="G66" s="6"/>
      <c r="H66" s="7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ht="15.75" customHeight="1">
      <c r="A67" s="5"/>
      <c r="B67" s="6"/>
      <c r="C67" s="6"/>
      <c r="D67" s="6"/>
      <c r="E67" s="6"/>
      <c r="F67" s="6"/>
      <c r="G67" s="6"/>
      <c r="H67" s="7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ht="15.75" customHeight="1">
      <c r="A68" s="5"/>
      <c r="B68" s="6"/>
      <c r="C68" s="6"/>
      <c r="D68" s="6"/>
      <c r="E68" s="6"/>
      <c r="F68" s="6"/>
      <c r="G68" s="6"/>
      <c r="H68" s="7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ht="15.75" customHeight="1">
      <c r="A69" s="5"/>
      <c r="B69" s="6"/>
      <c r="C69" s="6"/>
      <c r="D69" s="6"/>
      <c r="E69" s="6"/>
      <c r="F69" s="6"/>
      <c r="G69" s="6"/>
      <c r="H69" s="7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ht="15.75" customHeight="1">
      <c r="A70" s="5"/>
      <c r="B70" s="6"/>
      <c r="C70" s="6"/>
      <c r="D70" s="6"/>
      <c r="E70" s="6"/>
      <c r="F70" s="6"/>
      <c r="G70" s="6"/>
      <c r="H70" s="7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ht="15.75" customHeight="1">
      <c r="A71" s="5"/>
      <c r="B71" s="6"/>
      <c r="C71" s="6"/>
      <c r="D71" s="6"/>
      <c r="E71" s="6"/>
      <c r="F71" s="6"/>
      <c r="G71" s="6"/>
      <c r="H71" s="7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ht="15.75" customHeight="1">
      <c r="A72" s="5"/>
      <c r="B72" s="6"/>
      <c r="C72" s="6"/>
      <c r="D72" s="6"/>
      <c r="E72" s="6"/>
      <c r="F72" s="6"/>
      <c r="G72" s="6"/>
      <c r="H72" s="7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ht="15.75" customHeight="1">
      <c r="A73" s="5"/>
      <c r="B73" s="6"/>
      <c r="C73" s="6"/>
      <c r="D73" s="6"/>
      <c r="E73" s="6"/>
      <c r="F73" s="6"/>
      <c r="G73" s="6"/>
      <c r="H73" s="7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ht="15.75" customHeight="1">
      <c r="A74" s="5"/>
      <c r="B74" s="6"/>
      <c r="C74" s="41"/>
      <c r="D74" s="41"/>
      <c r="E74" s="41"/>
      <c r="F74" s="6"/>
      <c r="G74" s="6"/>
      <c r="H74" s="7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ht="15.75" customHeight="1">
      <c r="A75" s="5"/>
      <c r="B75" s="6"/>
      <c r="C75" s="41"/>
      <c r="D75" s="41"/>
      <c r="E75" s="41"/>
      <c r="F75" s="6"/>
      <c r="G75" s="6"/>
      <c r="H75" s="7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ht="15.75" customHeight="1">
      <c r="A76" s="5"/>
      <c r="B76" s="6"/>
      <c r="C76" s="31"/>
      <c r="D76" s="6"/>
      <c r="E76" s="6"/>
      <c r="F76" s="6"/>
      <c r="G76" s="6"/>
      <c r="H76" s="7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ht="15.75" customHeight="1">
      <c r="A77" s="5"/>
      <c r="B77" s="6"/>
      <c r="C77" s="6"/>
      <c r="D77" s="6"/>
      <c r="E77" s="6"/>
      <c r="F77" s="6"/>
      <c r="G77" s="6"/>
      <c r="H77" s="7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ht="15.75" customHeight="1">
      <c r="A78" s="5"/>
      <c r="B78" s="6"/>
      <c r="C78" s="32"/>
      <c r="D78" s="6"/>
      <c r="E78" s="6"/>
      <c r="F78" s="6"/>
      <c r="G78" s="6"/>
      <c r="H78" s="7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ht="15.75" customHeight="1">
      <c r="A79" s="5"/>
      <c r="B79" s="6"/>
      <c r="C79" s="32"/>
      <c r="D79" s="6"/>
      <c r="E79" s="6"/>
      <c r="F79" s="6"/>
      <c r="G79" s="6"/>
      <c r="H79" s="7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ht="15.75" customHeight="1">
      <c r="A80" s="5"/>
      <c r="B80" s="6"/>
      <c r="C80" s="6"/>
      <c r="D80" s="6"/>
      <c r="E80" s="6"/>
      <c r="F80" s="6"/>
      <c r="G80" s="6"/>
      <c r="H80" s="7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ht="15.75" customHeight="1">
      <c r="A81" s="5"/>
      <c r="B81" s="6"/>
      <c r="C81" s="33" t="str">
        <f>CONCATENATE("CO2 emission savings after ",$C$28," years:")</f>
        <v>CO2 emission savings after 3 years:</v>
      </c>
      <c r="D81" s="48"/>
      <c r="E81" s="34"/>
      <c r="F81" s="6"/>
      <c r="G81" s="6"/>
      <c r="H81" s="7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ht="15.75" customHeight="1">
      <c r="A82" s="5"/>
      <c r="B82" s="6"/>
      <c r="C82" s="49">
        <f>'Hidden calculations'!E43-'Hidden calculations'!B43</f>
        <v>1303100</v>
      </c>
      <c r="D82" s="50" t="s">
        <v>34</v>
      </c>
      <c r="E82" s="51">
        <f>1-SUM(E65:E66)/SUM(D65:D66)</f>
        <v>0.8736842105</v>
      </c>
      <c r="F82" s="6"/>
      <c r="G82" s="6"/>
      <c r="H82" s="7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ht="15.75" customHeight="1">
      <c r="A83" s="5"/>
      <c r="B83" s="6"/>
      <c r="C83" s="6"/>
      <c r="D83" s="6"/>
      <c r="E83" s="6"/>
      <c r="F83" s="6"/>
      <c r="G83" s="6"/>
      <c r="H83" s="7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ht="15.75" customHeight="1">
      <c r="A84" s="5"/>
      <c r="B84" s="6"/>
      <c r="C84" s="6"/>
      <c r="D84" s="6"/>
      <c r="E84" s="6"/>
      <c r="F84" s="6"/>
      <c r="G84" s="6"/>
      <c r="H84" s="7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ht="15.75" customHeight="1">
      <c r="A85" s="5"/>
      <c r="B85" s="37" t="s">
        <v>26</v>
      </c>
      <c r="C85" s="6"/>
      <c r="D85" s="6"/>
      <c r="E85" s="6"/>
      <c r="F85" s="6"/>
      <c r="G85" s="6"/>
      <c r="H85" s="7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ht="15.75" customHeight="1">
      <c r="A86" s="38"/>
      <c r="B86" s="12" t="s">
        <v>35</v>
      </c>
      <c r="C86" s="39"/>
      <c r="D86" s="39"/>
      <c r="E86" s="39"/>
      <c r="F86" s="39"/>
      <c r="G86" s="39"/>
      <c r="H86" s="40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ht="15.75" customHeight="1">
      <c r="A87" s="38"/>
      <c r="B87" s="12" t="s">
        <v>36</v>
      </c>
      <c r="C87" s="39"/>
      <c r="D87" s="39"/>
      <c r="E87" s="39"/>
      <c r="F87" s="39"/>
      <c r="G87" s="39"/>
      <c r="H87" s="40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ht="15.75" customHeight="1">
      <c r="A88" s="38"/>
      <c r="B88" s="12" t="s">
        <v>37</v>
      </c>
      <c r="C88" s="39"/>
      <c r="D88" s="39"/>
      <c r="E88" s="39"/>
      <c r="F88" s="39"/>
      <c r="G88" s="39"/>
      <c r="H88" s="40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ht="15.75" customHeight="1">
      <c r="A89" s="52"/>
      <c r="B89" s="53"/>
      <c r="C89" s="53"/>
      <c r="D89" s="53"/>
      <c r="E89" s="53"/>
      <c r="F89" s="53"/>
      <c r="G89" s="53"/>
      <c r="H89" s="5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paperSize="9" scale="4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7.29"/>
    <col customWidth="1" min="2" max="2" width="13.14"/>
    <col customWidth="1" min="3" max="3" width="8.71"/>
    <col customWidth="1" min="4" max="4" width="87.29"/>
    <col customWidth="1" min="5" max="5" width="13.14"/>
    <col customWidth="1" min="6" max="26" width="8.71"/>
  </cols>
  <sheetData>
    <row r="1">
      <c r="A1" s="55" t="s">
        <v>38</v>
      </c>
      <c r="B1" s="56"/>
      <c r="C1" s="56"/>
      <c r="D1" s="57" t="s">
        <v>8</v>
      </c>
      <c r="E1" s="58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>
      <c r="A2" s="60" t="s">
        <v>39</v>
      </c>
      <c r="B2" s="61">
        <f>SUM(B3,B4)</f>
        <v>800</v>
      </c>
      <c r="D2" s="62" t="s">
        <v>9</v>
      </c>
      <c r="E2" s="63">
        <f>'TCO &amp; CO2 - mobile use case'!C19</f>
        <v>349</v>
      </c>
    </row>
    <row r="3">
      <c r="A3" s="64" t="s">
        <v>40</v>
      </c>
      <c r="B3" s="65">
        <v>800.0</v>
      </c>
      <c r="D3" s="66" t="s">
        <v>40</v>
      </c>
      <c r="E3" s="67">
        <v>349.0</v>
      </c>
    </row>
    <row r="4">
      <c r="A4" s="60" t="s">
        <v>41</v>
      </c>
      <c r="B4" s="68">
        <v>0.0</v>
      </c>
      <c r="C4" s="69"/>
      <c r="D4" s="69" t="s">
        <v>41</v>
      </c>
      <c r="E4" s="70">
        <v>0.0</v>
      </c>
    </row>
    <row r="5">
      <c r="A5" s="60"/>
      <c r="E5" s="71"/>
    </row>
    <row r="6">
      <c r="A6" s="60" t="s">
        <v>42</v>
      </c>
      <c r="B6" s="61">
        <f>SUM(B7:B8)</f>
        <v>92</v>
      </c>
      <c r="D6" s="62" t="s">
        <v>10</v>
      </c>
      <c r="E6" s="63">
        <f>'TCO &amp; CO2 - mobile use case'!C20</f>
        <v>92</v>
      </c>
    </row>
    <row r="7">
      <c r="A7" s="64" t="s">
        <v>43</v>
      </c>
      <c r="B7" s="72">
        <f>E7</f>
        <v>92</v>
      </c>
      <c r="C7" s="69"/>
      <c r="D7" s="66" t="s">
        <v>43</v>
      </c>
      <c r="E7" s="67">
        <v>92.0</v>
      </c>
      <c r="F7" s="69"/>
    </row>
    <row r="8">
      <c r="A8" s="60" t="s">
        <v>44</v>
      </c>
      <c r="B8" s="68">
        <v>0.0</v>
      </c>
      <c r="C8" s="69"/>
      <c r="E8" s="63"/>
    </row>
    <row r="9">
      <c r="A9" s="60"/>
      <c r="E9" s="71"/>
    </row>
    <row r="10">
      <c r="A10" s="60" t="s">
        <v>45</v>
      </c>
      <c r="B10" s="61">
        <f>SUM(B12:B16)+'TCO &amp; CO2 - mobile use case'!C16</f>
        <v>558</v>
      </c>
      <c r="D10" s="62" t="s">
        <v>46</v>
      </c>
      <c r="E10" s="63">
        <f>'TCO &amp; CO2 - mobile use case'!C21+'TCO &amp; CO2 - mobile use case'!C22+'TCO &amp; CO2 - mobile use case'!C23</f>
        <v>1048</v>
      </c>
    </row>
    <row r="11">
      <c r="A11" s="64" t="s">
        <v>47</v>
      </c>
      <c r="B11" s="65">
        <v>150.0</v>
      </c>
      <c r="C11" s="69"/>
      <c r="D11" s="66" t="s">
        <v>47</v>
      </c>
      <c r="E11" s="73">
        <v>0.0</v>
      </c>
      <c r="F11" s="69"/>
    </row>
    <row r="12">
      <c r="A12" s="60" t="s">
        <v>48</v>
      </c>
      <c r="B12" s="68">
        <v>0.0</v>
      </c>
      <c r="C12" s="69"/>
      <c r="D12" s="62" t="s">
        <v>49</v>
      </c>
      <c r="E12" s="70">
        <f>50*12</f>
        <v>600</v>
      </c>
      <c r="F12" s="69"/>
    </row>
    <row r="13">
      <c r="A13" s="60" t="s">
        <v>50</v>
      </c>
      <c r="B13" s="68">
        <f>34*12</f>
        <v>408</v>
      </c>
      <c r="C13" s="69"/>
      <c r="D13" s="69" t="s">
        <v>50</v>
      </c>
      <c r="E13" s="70">
        <f>34*12</f>
        <v>408</v>
      </c>
      <c r="F13" s="69"/>
    </row>
    <row r="14">
      <c r="A14" s="60"/>
      <c r="B14" s="61"/>
      <c r="D14" s="62" t="s">
        <v>51</v>
      </c>
      <c r="E14" s="70"/>
      <c r="F14" s="69"/>
    </row>
    <row r="15">
      <c r="A15" s="60" t="s">
        <v>52</v>
      </c>
      <c r="B15" s="61" t="str">
        <f>E15</f>
        <v/>
      </c>
      <c r="D15" s="62" t="s">
        <v>52</v>
      </c>
      <c r="E15" s="70"/>
      <c r="F15" s="69"/>
    </row>
    <row r="16">
      <c r="A16" s="60"/>
      <c r="B16" s="61"/>
      <c r="D16" s="62" t="s">
        <v>53</v>
      </c>
      <c r="E16" s="70">
        <v>40.0</v>
      </c>
      <c r="F16" s="69"/>
    </row>
    <row r="17">
      <c r="A17" s="60"/>
      <c r="E17" s="71"/>
    </row>
    <row r="18">
      <c r="A18" s="60" t="s">
        <v>54</v>
      </c>
      <c r="B18" s="74">
        <f>ROUNDUP('TCO &amp; CO2 - mobile use case'!C12/6000*B19,0)</f>
        <v>4</v>
      </c>
      <c r="D18" s="62" t="s">
        <v>55</v>
      </c>
      <c r="E18" s="75">
        <f>ROUNDUP('TCO &amp; CO2 - mobile use case'!C12/6000*E19,0)</f>
        <v>4</v>
      </c>
    </row>
    <row r="19">
      <c r="A19" s="64" t="s">
        <v>56</v>
      </c>
      <c r="B19" s="76">
        <v>4.5</v>
      </c>
      <c r="D19" s="66" t="s">
        <v>56</v>
      </c>
      <c r="E19" s="77">
        <f>B19</f>
        <v>4.5</v>
      </c>
    </row>
    <row r="20">
      <c r="A20" s="60"/>
      <c r="E20" s="71"/>
    </row>
    <row r="21" ht="15.75" customHeight="1">
      <c r="A21" s="60" t="s">
        <v>15</v>
      </c>
      <c r="B21" s="61">
        <f>E21</f>
        <v>60000</v>
      </c>
      <c r="D21" s="62" t="s">
        <v>15</v>
      </c>
      <c r="E21" s="63">
        <f>'TCO &amp; CO2 - mobile use case'!C25</f>
        <v>60000</v>
      </c>
    </row>
    <row r="22" ht="15.75" customHeight="1">
      <c r="A22" s="64"/>
      <c r="B22" s="72"/>
      <c r="D22" s="66" t="s">
        <v>57</v>
      </c>
      <c r="E22" s="67">
        <v>60000.0</v>
      </c>
    </row>
    <row r="23" ht="15.75" customHeight="1">
      <c r="A23" s="60"/>
      <c r="E23" s="71"/>
    </row>
    <row r="24" ht="15.75" customHeight="1">
      <c r="A24" s="60"/>
      <c r="E24" s="71"/>
    </row>
    <row r="25" ht="15.75" customHeight="1">
      <c r="A25" s="78" t="s">
        <v>58</v>
      </c>
      <c r="D25" s="79" t="s">
        <v>59</v>
      </c>
      <c r="E25" s="71"/>
    </row>
    <row r="26" ht="15.75" customHeight="1">
      <c r="A26" s="60" t="s">
        <v>60</v>
      </c>
      <c r="B26" s="61">
        <f>('TCO &amp; CO2 - mobile use case'!$C$12-'TCO &amp; CO2 - mobile use case'!C13)*'Hidden calculations'!B2</f>
        <v>0</v>
      </c>
      <c r="D26" s="62" t="s">
        <v>61</v>
      </c>
      <c r="E26" s="63">
        <f>'TCO &amp; CO2 - mobile use case'!$C$12*'TCO &amp; CO2 - mobile use case'!C19</f>
        <v>1745000</v>
      </c>
    </row>
    <row r="27" ht="15.75" customHeight="1">
      <c r="A27" s="60" t="s">
        <v>62</v>
      </c>
      <c r="B27" s="61">
        <f>'TCO &amp; CO2 - mobile use case'!$C$12*'Hidden calculations'!B6</f>
        <v>460000</v>
      </c>
      <c r="D27" s="62" t="s">
        <v>63</v>
      </c>
      <c r="E27" s="63">
        <f>'TCO &amp; CO2 - mobile use case'!$C$12*'TCO &amp; CO2 - mobile use case'!C20</f>
        <v>460000</v>
      </c>
    </row>
    <row r="28" ht="15.75" customHeight="1">
      <c r="A28" s="60" t="str">
        <f>CONCATENATE("Hybrid client license costs (",'TCO &amp; CO2 - mobile use case'!$C$28," years):")</f>
        <v>Hybrid client license costs (3 years):</v>
      </c>
      <c r="B28" s="61">
        <f>'TCO &amp; CO2 - mobile use case'!$C$12*'TCO &amp; CO2 - mobile use case'!$C$28*'Hidden calculations'!B10</f>
        <v>8370000</v>
      </c>
      <c r="D28" s="62" t="str">
        <f>CONCATENATE("Windows 365 Link license costs (",'TCO &amp; CO2 - mobile use case'!$C$28," years):")</f>
        <v>Windows 365 Link license costs (3 years):</v>
      </c>
      <c r="E28" s="63">
        <f>'TCO &amp; CO2 - mobile use case'!$C$12*'TCO &amp; CO2 - mobile use case'!$C$28*E10</f>
        <v>15720000</v>
      </c>
    </row>
    <row r="29" ht="15.75" customHeight="1">
      <c r="A29" s="60" t="str">
        <f>CONCATENATE("Hybrid client maintenance costs (",'TCO &amp; CO2 - mobile use case'!$C$28," years):")</f>
        <v>Hybrid client maintenance costs (3 years):</v>
      </c>
      <c r="B29" s="61">
        <f>'Hidden calculations'!B18*'Hidden calculations'!B21*'TCO &amp; CO2 - mobile use case'!C28</f>
        <v>720000</v>
      </c>
      <c r="D29" s="62" t="str">
        <f>CONCATENATE("Windows 365 Link maintenance costs (",'TCO &amp; CO2 - mobile use case'!$C$28," years):")</f>
        <v>Windows 365 Link maintenance costs (3 years):</v>
      </c>
      <c r="E29" s="63">
        <f>'TCO &amp; CO2 - mobile use case'!C24*'TCO &amp; CO2 - mobile use case'!C25*'TCO &amp; CO2 - mobile use case'!C28</f>
        <v>720000</v>
      </c>
    </row>
    <row r="30" ht="15.75" customHeight="1">
      <c r="A30" s="80" t="s">
        <v>64</v>
      </c>
      <c r="B30" s="81">
        <f>SUM(B26:B29)</f>
        <v>9550000</v>
      </c>
      <c r="C30" s="82"/>
      <c r="D30" s="83" t="s">
        <v>64</v>
      </c>
      <c r="E30" s="84">
        <f>SUM(E26:E29)</f>
        <v>18645000</v>
      </c>
    </row>
    <row r="31" ht="15.75" customHeight="1"/>
    <row r="32" ht="15.75" customHeight="1"/>
    <row r="33" ht="15.75" customHeight="1"/>
    <row r="34" ht="15.75" customHeight="1">
      <c r="A34" s="55" t="s">
        <v>65</v>
      </c>
      <c r="B34" s="56"/>
      <c r="C34" s="56"/>
      <c r="D34" s="57" t="s">
        <v>66</v>
      </c>
      <c r="E34" s="58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15.75" customHeight="1">
      <c r="A35" s="60" t="str">
        <f>CONCATENATE("Total emissions excl. end of life per mobile hybrid client for ",'TCO &amp; CO2 - mobile use case'!$C$28," years (in kg):")</f>
        <v>Total emissions excl. end of life per mobile hybrid client for 3 years (in kg):</v>
      </c>
      <c r="B35" s="85">
        <f>B36+B37</f>
        <v>298.3</v>
      </c>
      <c r="D35" s="62" t="str">
        <f>CONCATENATE("Total emissions excl. end of life per Windows 365 Link for ",'TCO &amp; CO2 - mobile use case'!$C$28," years (in kg):")</f>
        <v>Total emissions excl. end of life per Windows 365 Link for 3 years (in kg):</v>
      </c>
      <c r="E35" s="86">
        <f>E36+E37</f>
        <v>298.3</v>
      </c>
    </row>
    <row r="36" ht="15.75" customHeight="1">
      <c r="A36" s="64" t="s">
        <v>32</v>
      </c>
      <c r="B36" s="87">
        <f t="shared" ref="B36:B37" si="1">E36</f>
        <v>260.62</v>
      </c>
      <c r="D36" s="66" t="s">
        <v>32</v>
      </c>
      <c r="E36" s="88">
        <f>314*0.83</f>
        <v>260.62</v>
      </c>
    </row>
    <row r="37" ht="15.75" customHeight="1">
      <c r="A37" s="60" t="str">
        <f>CONCATENATE("Use (over ",'TCO &amp; CO2 - mobile use case'!$C$28," years)")</f>
        <v>Use (over 3 years)</v>
      </c>
      <c r="B37" s="85">
        <f t="shared" si="1"/>
        <v>37.68</v>
      </c>
      <c r="D37" s="62" t="str">
        <f>CONCATENATE("Use (over ",'TCO &amp; CO2 - mobile use case'!$C$28," years)")</f>
        <v>Use (over 3 years)</v>
      </c>
      <c r="E37" s="86">
        <f>314*0.16/4*'TCO &amp; CO2 - mobile use case'!$C$28</f>
        <v>37.68</v>
      </c>
    </row>
    <row r="38" ht="15.75" customHeight="1">
      <c r="A38" s="60"/>
      <c r="E38" s="71"/>
    </row>
    <row r="39" ht="15.75" customHeight="1">
      <c r="A39" s="60"/>
      <c r="E39" s="71"/>
    </row>
    <row r="40" ht="15.75" customHeight="1">
      <c r="A40" s="78" t="s">
        <v>67</v>
      </c>
      <c r="D40" s="79" t="s">
        <v>68</v>
      </c>
      <c r="E40" s="71"/>
    </row>
    <row r="41" ht="15.75" customHeight="1">
      <c r="A41" s="60" t="s">
        <v>69</v>
      </c>
      <c r="B41" s="85">
        <f>('TCO &amp; CO2 - mobile use case'!$C$12-'TCO &amp; CO2 - mobile use case'!C13)*'Hidden calculations'!B36</f>
        <v>0</v>
      </c>
      <c r="D41" s="62" t="s">
        <v>70</v>
      </c>
      <c r="E41" s="86">
        <f>('TCO &amp; CO2 - mobile use case'!$C$12)*'Hidden calculations'!E36</f>
        <v>1303100</v>
      </c>
    </row>
    <row r="42" ht="15.75" customHeight="1">
      <c r="A42" s="60" t="str">
        <f>CONCATENATE("Hybrid client usage emissions (",'TCO &amp; CO2 - mobile use case'!$C$28," years):")</f>
        <v>Hybrid client usage emissions (3 years):</v>
      </c>
      <c r="B42" s="85">
        <f>'TCO &amp; CO2 - mobile use case'!$C$12*B37</f>
        <v>188400</v>
      </c>
      <c r="D42" s="62" t="str">
        <f>CONCATENATE("Windows 365 Link usage emissions (",'TCO &amp; CO2 - mobile use case'!$C$28," years):")</f>
        <v>Windows 365 Link usage emissions (3 years):</v>
      </c>
      <c r="E42" s="86">
        <f>'TCO &amp; CO2 - mobile use case'!$C$12*E37</f>
        <v>188400</v>
      </c>
    </row>
    <row r="43" ht="15.75" customHeight="1">
      <c r="A43" s="80" t="s">
        <v>64</v>
      </c>
      <c r="B43" s="89">
        <f>SUM(B41:B42)</f>
        <v>188400</v>
      </c>
      <c r="C43" s="82"/>
      <c r="D43" s="83" t="s">
        <v>64</v>
      </c>
      <c r="E43" s="90">
        <f>SUM(E41:E42)</f>
        <v>1491500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E3:E4">
    <cfRule type="expression" dxfId="0" priority="1">
      <formula>$E$2&lt;&gt;SUM($E$3,$E$4)</formula>
    </cfRule>
  </conditionalFormatting>
  <conditionalFormatting sqref="E7:E8">
    <cfRule type="expression" dxfId="0" priority="2">
      <formula>$E$6&lt;&gt;SUM($E$7,$E$8)</formula>
    </cfRule>
  </conditionalFormatting>
  <conditionalFormatting sqref="E11 E13:E16">
    <cfRule type="expression" dxfId="0" priority="3">
      <formula>$E$10&lt;&gt;SUM($E$11:$E$16)</formula>
    </cfRule>
  </conditionalFormatting>
  <conditionalFormatting sqref="E22">
    <cfRule type="expression" dxfId="0" priority="4">
      <formula>$E$21&lt;&gt;$E22</formula>
    </cfRule>
  </conditionalFormatting>
  <conditionalFormatting sqref="E37">
    <cfRule type="expression" dxfId="0" priority="5">
      <formula>$E$2&lt;&gt;SUM($E$3,$E$4)</formula>
    </cfRule>
  </conditionalFormatting>
  <conditionalFormatting sqref="E12">
    <cfRule type="expression" dxfId="0" priority="6">
      <formula>$E$10&lt;&gt;SUM($E$11:$E$16)</formula>
    </cfRule>
  </conditionalFormatting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2022-08-26T13:06:53Z</dcterms:created>
  <dc:creator>Maurice Montalbano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0x010100D77839CAF2CF554C8063BFABBD28A42E</vt:lpwstr>
  </property>
  <property fmtid="{D5CDD505-2E9C-101B-9397-08002B2CF9AE}" pid="3" name="MediaServiceImageTags">
    <vt:lpwstr/>
  </property>
</Properties>
</file>